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320" windowWidth="18820" windowHeight="8310"/>
  </bookViews>
  <sheets>
    <sheet name="BRKB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79" i="1" l="1"/>
  <c r="D77" i="1"/>
  <c r="F77" i="1" s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M39" i="1"/>
  <c r="E51" i="1" s="1"/>
  <c r="L39" i="1"/>
  <c r="K39" i="1"/>
  <c r="J39" i="1"/>
  <c r="I39" i="1"/>
  <c r="H39" i="1"/>
  <c r="G39" i="1"/>
  <c r="F39" i="1"/>
  <c r="E39" i="1"/>
  <c r="D39" i="1"/>
  <c r="G29" i="1"/>
  <c r="F29" i="1"/>
  <c r="D29" i="1"/>
  <c r="C29" i="1"/>
  <c r="G28" i="1"/>
  <c r="F28" i="1"/>
  <c r="F31" i="1" s="1"/>
  <c r="D28" i="1"/>
  <c r="D31" i="1" s="1"/>
  <c r="C28" i="1"/>
  <c r="C31" i="1" s="1"/>
  <c r="I25" i="1"/>
  <c r="I29" i="1" s="1"/>
  <c r="H25" i="1"/>
  <c r="H29" i="1" s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I28" i="1" s="1"/>
  <c r="H16" i="1"/>
  <c r="H28" i="1" s="1"/>
  <c r="I15" i="1"/>
  <c r="H15" i="1"/>
  <c r="I14" i="1"/>
  <c r="H14" i="1"/>
  <c r="I13" i="1"/>
  <c r="H13" i="1"/>
  <c r="I12" i="1"/>
  <c r="H12" i="1"/>
  <c r="I11" i="1"/>
  <c r="H11" i="1"/>
  <c r="I10" i="1"/>
  <c r="H10" i="1"/>
  <c r="F79" i="1" l="1"/>
  <c r="I31" i="1"/>
  <c r="I79" i="1"/>
  <c r="K37" i="1" l="1"/>
  <c r="J37" i="1"/>
  <c r="I37" i="1"/>
  <c r="H37" i="1"/>
  <c r="G37" i="1"/>
  <c r="F37" i="1"/>
  <c r="M37" i="1"/>
  <c r="E37" i="1"/>
  <c r="L37" i="1"/>
  <c r="D37" i="1"/>
  <c r="D38" i="1" s="1"/>
  <c r="E36" i="1" l="1"/>
  <c r="E38" i="1" s="1"/>
  <c r="D40" i="1"/>
  <c r="E40" i="1" l="1"/>
  <c r="F36" i="1"/>
  <c r="F38" i="1" s="1"/>
  <c r="G36" i="1" l="1"/>
  <c r="G38" i="1" s="1"/>
  <c r="F40" i="1"/>
  <c r="H36" i="1" l="1"/>
  <c r="H38" i="1" s="1"/>
  <c r="G40" i="1"/>
  <c r="I36" i="1" l="1"/>
  <c r="I38" i="1" s="1"/>
  <c r="H40" i="1"/>
  <c r="J36" i="1" l="1"/>
  <c r="J38" i="1" s="1"/>
  <c r="I40" i="1"/>
  <c r="K36" i="1" l="1"/>
  <c r="K38" i="1" s="1"/>
  <c r="J40" i="1"/>
  <c r="L36" i="1" l="1"/>
  <c r="L38" i="1" s="1"/>
  <c r="K40" i="1"/>
  <c r="M36" i="1" l="1"/>
  <c r="M38" i="1" s="1"/>
  <c r="L40" i="1"/>
  <c r="M40" i="1" l="1"/>
  <c r="O40" i="1" s="1"/>
  <c r="F42" i="1" s="1"/>
  <c r="E46" i="1"/>
  <c r="E48" i="1" s="1"/>
  <c r="E50" i="1" s="1"/>
  <c r="F52" i="1" s="1"/>
  <c r="F54" i="1" l="1"/>
  <c r="F56" i="1" s="1"/>
</calcChain>
</file>

<file path=xl/sharedStrings.xml><?xml version="1.0" encoding="utf-8"?>
<sst xmlns="http://schemas.openxmlformats.org/spreadsheetml/2006/main" count="114" uniqueCount="105">
  <si>
    <t>VALUATION OF BUSINESS</t>
  </si>
  <si>
    <t>BRKB</t>
  </si>
  <si>
    <t xml:space="preserve">Berkshire Hathaway </t>
  </si>
  <si>
    <t>"Owner Earnings" Analysis (figures in $ Millions)</t>
  </si>
  <si>
    <t># Outstanding Shares: 2166 Millions</t>
  </si>
  <si>
    <t>Asset</t>
  </si>
  <si>
    <t>Liability</t>
  </si>
  <si>
    <t>EQUITY</t>
  </si>
  <si>
    <t># shares</t>
  </si>
  <si>
    <t>Capital spending per share</t>
  </si>
  <si>
    <t>year</t>
  </si>
  <si>
    <t>Annual Sales</t>
  </si>
  <si>
    <t>Annual Income</t>
  </si>
  <si>
    <t xml:space="preserve">Depreciation </t>
  </si>
  <si>
    <t xml:space="preserve">Capital Expenditures </t>
  </si>
  <si>
    <t>Owner Earnings</t>
  </si>
  <si>
    <t>year 0</t>
  </si>
  <si>
    <t>Year1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</si>
  <si>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</si>
  <si>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</si>
  <si>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</si>
  <si>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</si>
  <si>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</si>
  <si>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</si>
  <si>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</si>
  <si>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</si>
  <si>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</si>
  <si>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</si>
  <si>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 xml:space="preserve">Compounded Annual Growth Rates </t>
  </si>
  <si>
    <t>2014-2023</t>
  </si>
  <si>
    <t>PV</t>
  </si>
  <si>
    <t>FV</t>
  </si>
  <si>
    <t>Nper</t>
  </si>
  <si>
    <t>Growth Rate</t>
  </si>
  <si>
    <t>Discounted Owner Earnings Using a Two Stage "Dividend" Discount Model (1st stage is 10 years)</t>
  </si>
  <si>
    <t>Year 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</si>
  <si>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</si>
  <si>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</si>
  <si>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</si>
  <si>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</si>
  <si>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</si>
  <si>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</si>
  <si>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</si>
  <si>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</si>
  <si>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</si>
  <si>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Prior year owner earnings</t>
  </si>
  <si>
    <t>Growth Rate (add)</t>
  </si>
  <si>
    <t>owner earnings</t>
  </si>
  <si>
    <t>discount factor (multiply)</t>
  </si>
  <si>
    <t>discounted value per annum</t>
  </si>
  <si>
    <t>Sum of present value of owner earnings</t>
  </si>
  <si>
    <t>NOTES:</t>
  </si>
  <si>
    <t>Residual Value=terminal value= liquidation value at year11</t>
  </si>
  <si>
    <t>Financial Formulas:</t>
  </si>
  <si>
    <t>Asset - Liability = Equity</t>
  </si>
  <si>
    <t>Net Income = Net profit = Net earning</t>
  </si>
  <si>
    <t xml:space="preserve">owner earnings in year 10 </t>
  </si>
  <si>
    <t>ANNUAL INCOME + DEPRECIATION  -  CAPITAL EXPENDITURE =  OWNER EARNINGS</t>
  </si>
  <si>
    <t>2nd stage EARNING YIELD Growth Rate (g=5%) (add)</t>
  </si>
  <si>
    <t>Captial spending per share x # of share outstanding =  Capital Expenditures</t>
  </si>
  <si>
    <t>owner earnings in year 11</t>
  </si>
  <si>
    <t>Equity = common stock + prefered stock</t>
  </si>
  <si>
    <t>Capitalization rate (k-g =9%-5%=4%)</t>
  </si>
  <si>
    <t>Capital Invested = Debt + Equity</t>
  </si>
  <si>
    <t>R-value at end of year 10 =(year11/cap rate)</t>
  </si>
  <si>
    <t>RoC=NI/(debt+equity)</t>
  </si>
  <si>
    <t>discount factor at year10 (multiply)</t>
  </si>
  <si>
    <t>RoE=NI/Equity</t>
  </si>
  <si>
    <t>PV of residual value</t>
  </si>
  <si>
    <t xml:space="preserve">Time value of money: </t>
  </si>
  <si>
    <t xml:space="preserve"> </t>
  </si>
  <si>
    <t>ASSUMED 30 YEAR TREASURE RATE IS 9%</t>
  </si>
  <si>
    <t xml:space="preserve">Intrinsic Value of Company </t>
  </si>
  <si>
    <t xml:space="preserve">Discount factor= (1/(1+ 9%))^x </t>
  </si>
  <si>
    <t># Shares Outstanding (Million)</t>
  </si>
  <si>
    <t>Intrinsic Value per share</t>
  </si>
  <si>
    <t>Margin of Safety= 30% to 50%</t>
  </si>
  <si>
    <t>Share buyback increases operating earnings</t>
  </si>
  <si>
    <t xml:space="preserve">Assumed 1st stage OPERATING EARNING growth rate at 15 %;     </t>
  </si>
  <si>
    <t>Dividends are income to shareholders</t>
  </si>
  <si>
    <t>Assumed 2nd stage OPERATING EARNING growth rate at 5%;</t>
  </si>
  <si>
    <t xml:space="preserve"> K =discount rate =9% (note: Assumed 30 year treasury rate = 9%)</t>
  </si>
  <si>
    <t xml:space="preserve">Float is premium of insurance and free interest loan </t>
  </si>
  <si>
    <t xml:space="preserve">  VALUATION OF MANAGEMENT'S OPERATIONAL ABILITY:</t>
  </si>
  <si>
    <t>Change in Market Value over 10 years</t>
  </si>
  <si>
    <t>Net Income</t>
  </si>
  <si>
    <t xml:space="preserve">Dividend </t>
  </si>
  <si>
    <t>Retained</t>
  </si>
  <si>
    <t># of shares</t>
  </si>
  <si>
    <t xml:space="preserve">Retained </t>
  </si>
  <si>
    <t xml:space="preserve">Market Value </t>
  </si>
  <si>
    <t>Formulas:</t>
  </si>
  <si>
    <t>Earning per share</t>
  </si>
  <si>
    <t>Payment</t>
  </si>
  <si>
    <t>Earnings Per S</t>
  </si>
  <si>
    <t>in Millions</t>
  </si>
  <si>
    <t xml:space="preserve">Earnings </t>
  </si>
  <si>
    <t>in millions</t>
  </si>
  <si>
    <t>Net Income -Dividend payment = Retained Earnings</t>
  </si>
  <si>
    <t>MANAGEMENT'S ABILITY EQUAL TO:</t>
  </si>
  <si>
    <t>Change in Market Value / Retained Earnings</t>
  </si>
  <si>
    <t xml:space="preserve">$1 EARNING RETAINED THAT CREATED $2 IN MARKET VALUE. </t>
  </si>
  <si>
    <t>DOLLARS</t>
  </si>
  <si>
    <t>total 10 y RE</t>
  </si>
  <si>
    <t xml:space="preserve">4/29/2025   According to     VALUE LINE SURVEY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</si>
</sst>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1" fontId="0" fillId="0" borderId="0" xfId="0" applyNumberFormat="1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1" fontId="1" fillId="0" borderId="0" xfId="0" applyNumberFormat="1" applyFont="1"/>
    <xf numFmtId="1" fontId="2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/>
    </xf>
    <xf numFmtId="10" fontId="0" fillId="0" borderId="0" xfId="0" applyNumberFormat="1"/>
    <xf numFmtId="10" fontId="1" fillId="0" borderId="0" xfId="0" applyNumberFormat="1" applyFont="1"/>
    <xf numFmtId="2" fontId="0" fillId="0" borderId="0" xfId="0" applyNumberFormat="1"/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Font="1"/>
    <xf numFmtId="164" fontId="0" fillId="0" borderId="0" xfId="0" applyNumberFormat="1"/>
    <xf numFmtId="1" fontId="5" fillId="0" borderId="0" xfId="0" applyNumberFormat="1" applyFont="1"/>
    <xf numFmtId="0" fontId="5" fillId="0" borderId="1" xfId="0" applyFont="1" applyBorder="1"/>
    <xf numFmtId="9" fontId="0" fillId="0" borderId="0" xfId="0" applyNumberFormat="1"/>
    <xf numFmtId="0" fontId="5" fillId="0" borderId="0" xfId="0" applyFont="1"/>
    <xf numFmtId="2" fontId="6" fillId="0" borderId="1" xfId="0" applyNumberFormat="1" applyFont="1" applyBorder="1"/>
    <xf numFmtId="1" fontId="1" fillId="0" borderId="1" xfId="0" applyNumberFormat="1" applyFont="1" applyBorder="1"/>
    <xf numFmtId="2" fontId="1" fillId="0" borderId="0" xfId="0" applyNumberFormat="1" applyFont="1"/>
    <xf numFmtId="1" fontId="1" fillId="0" borderId="2" xfId="0" applyNumberFormat="1" applyFont="1" applyBorder="1"/>
    <xf numFmtId="1" fontId="1" fillId="0" borderId="0" xfId="0" applyNumberFormat="1" applyFont="1" applyBorder="1"/>
    <xf numFmtId="0" fontId="0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2" fontId="2" fillId="0" borderId="0" xfId="0" applyNumberFormat="1" applyFont="1"/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abSelected="1" workbookViewId="0">
      <selection activeCell="C7" sqref="C7"/>
    </sheetView>
  </sheetViews>
  <sheetFormatPr defaultRowHeight="14.5" x14ac:dyDescent="0.35"/>
  <cols>
    <col min="2" max="2" width="11.54296875" customWidth="1"/>
    <col min="3" max="3" width="24.90625" customWidth="1"/>
    <col min="4" max="4" width="13.453125" bestFit="1" customWidth="1"/>
    <col min="5" max="5" width="11.90625" bestFit="1" customWidth="1"/>
    <col min="6" max="6" width="11.90625" style="1" customWidth="1"/>
    <col min="7" max="7" width="12.7265625" style="1" customWidth="1"/>
    <col min="8" max="8" width="18.36328125" style="2" customWidth="1"/>
    <col min="9" max="9" width="10.36328125" customWidth="1"/>
    <col min="10" max="10" width="11.7265625" style="2" customWidth="1"/>
    <col min="11" max="11" width="8.36328125" customWidth="1"/>
    <col min="12" max="12" width="8.26953125" customWidth="1"/>
    <col min="13" max="13" width="8.1796875" customWidth="1"/>
    <col min="14" max="14" width="4" customWidth="1"/>
    <col min="15" max="15" width="7.81640625" customWidth="1"/>
  </cols>
  <sheetData>
    <row r="1" spans="1:12" x14ac:dyDescent="0.35">
      <c r="A1" t="s">
        <v>104</v>
      </c>
    </row>
    <row r="2" spans="1:12" x14ac:dyDescent="0.35">
      <c r="C2" s="3" t="s">
        <v>0</v>
      </c>
    </row>
    <row r="3" spans="1:12" ht="15.5" x14ac:dyDescent="0.35">
      <c r="B3" t="s">
        <v>1</v>
      </c>
      <c r="C3" s="4" t="s">
        <v>2</v>
      </c>
      <c r="D3" s="5" t="s">
        <v>3</v>
      </c>
    </row>
    <row r="4" spans="1:12" x14ac:dyDescent="0.35">
      <c r="D4" s="3" t="s">
        <v>4</v>
      </c>
    </row>
    <row r="6" spans="1:12" x14ac:dyDescent="0.35">
      <c r="D6" s="3" t="s">
        <v>5</v>
      </c>
      <c r="G6" s="1" t="s">
        <v>6</v>
      </c>
      <c r="I6" s="3" t="s">
        <v>7</v>
      </c>
    </row>
    <row r="8" spans="1:12" x14ac:dyDescent="0.35">
      <c r="F8" s="6" t="s">
        <v>8</v>
      </c>
      <c r="G8" s="6" t="s">
        <v>9</v>
      </c>
      <c r="J8" s="7"/>
    </row>
    <row r="9" spans="1:12" x14ac:dyDescent="0.35">
      <c r="B9" s="3" t="s">
        <v>10</v>
      </c>
      <c r="C9" s="3" t="s">
        <v>11</v>
      </c>
      <c r="D9" s="3" t="s">
        <v>12</v>
      </c>
      <c r="E9" s="3" t="s">
        <v>13</v>
      </c>
      <c r="H9" s="3" t="s">
        <v>14</v>
      </c>
      <c r="I9" s="3" t="s">
        <v>15</v>
      </c>
      <c r="J9" s="8"/>
    </row>
    <row r="10" spans="1:12" x14ac:dyDescent="0.35">
      <c r="B10">
        <v>2008</v>
      </c>
      <c r="H10" s="2">
        <f>F10*G10</f>
        <v>0</v>
      </c>
      <c r="I10" s="7">
        <f t="shared" ref="I10:I15" si="0">D10+E10-H10</f>
        <v>0</v>
      </c>
    </row>
    <row r="11" spans="1:12" x14ac:dyDescent="0.35">
      <c r="B11">
        <v>2009</v>
      </c>
      <c r="H11" s="2">
        <f t="shared" ref="H11:H25" si="1">F11*G11</f>
        <v>0</v>
      </c>
      <c r="I11" s="7">
        <f t="shared" si="0"/>
        <v>0</v>
      </c>
    </row>
    <row r="12" spans="1:12" x14ac:dyDescent="0.35">
      <c r="B12">
        <v>2010</v>
      </c>
      <c r="H12" s="2">
        <f t="shared" si="1"/>
        <v>0</v>
      </c>
      <c r="I12" s="7">
        <f t="shared" si="0"/>
        <v>0</v>
      </c>
    </row>
    <row r="13" spans="1:12" x14ac:dyDescent="0.35">
      <c r="B13">
        <v>2011</v>
      </c>
      <c r="H13" s="2">
        <f t="shared" si="1"/>
        <v>0</v>
      </c>
      <c r="I13" s="7">
        <f t="shared" si="0"/>
        <v>0</v>
      </c>
    </row>
    <row r="14" spans="1:12" x14ac:dyDescent="0.35">
      <c r="B14">
        <v>2012</v>
      </c>
      <c r="H14" s="2">
        <f t="shared" si="1"/>
        <v>0</v>
      </c>
      <c r="I14" s="7">
        <f t="shared" si="0"/>
        <v>0</v>
      </c>
    </row>
    <row r="15" spans="1:12" x14ac:dyDescent="0.35">
      <c r="B15">
        <v>2013</v>
      </c>
      <c r="H15" s="2">
        <f t="shared" si="1"/>
        <v>0</v>
      </c>
      <c r="I15" s="7">
        <f t="shared" si="0"/>
        <v>0</v>
      </c>
    </row>
    <row r="16" spans="1:12" s="3" customFormat="1" x14ac:dyDescent="0.35">
      <c r="A16" s="3" t="s">
        <v>16</v>
      </c>
      <c r="B16" s="3">
        <v>2014</v>
      </c>
      <c r="C16" s="3">
        <v>41253</v>
      </c>
      <c r="D16" s="3">
        <v>19880</v>
      </c>
      <c r="E16" s="3">
        <v>0</v>
      </c>
      <c r="F16" s="1">
        <v>2464.3000000000002</v>
      </c>
      <c r="G16" s="1">
        <v>0</v>
      </c>
      <c r="H16" s="7">
        <f>F16*G16</f>
        <v>0</v>
      </c>
      <c r="I16" s="7">
        <f>D16+E16-H16</f>
        <v>19880</v>
      </c>
      <c r="J16" s="9" t="s">
        <v>17</v>
      </c>
      <c r="K16" s="10"/>
      <c r="L16" s="7"/>
    </row>
    <row r="17" spans="1:12" x14ac:dyDescent="0.35">
      <c r="A17" t="s">
        <v>18</v>
      </c>
      <c r="B17">
        <v>2015</v>
      </c>
      <c r="C17">
        <v>41294</v>
      </c>
      <c r="D17">
        <v>24083</v>
      </c>
      <c r="E17" s="3">
        <v>0</v>
      </c>
      <c r="F17" s="1">
        <v>2465.1999999999998</v>
      </c>
      <c r="G17" s="1">
        <v>0</v>
      </c>
      <c r="H17" s="2">
        <f t="shared" si="1"/>
        <v>0</v>
      </c>
      <c r="I17" s="7">
        <f t="shared" ref="I17:I25" si="2">D17+E17-H17</f>
        <v>24083</v>
      </c>
      <c r="J17" s="11" t="s">
        <v>19</v>
      </c>
      <c r="K17" s="10"/>
      <c r="L17" s="7"/>
    </row>
    <row r="18" spans="1:12" x14ac:dyDescent="0.35">
      <c r="A18" t="s">
        <v>19</v>
      </c>
      <c r="B18">
        <v>2016</v>
      </c>
      <c r="C18">
        <v>45881</v>
      </c>
      <c r="D18">
        <v>24095</v>
      </c>
      <c r="E18" s="3">
        <v>0</v>
      </c>
      <c r="F18" s="1">
        <v>2466.1999999999998</v>
      </c>
      <c r="G18" s="1">
        <v>0</v>
      </c>
      <c r="H18" s="2">
        <f t="shared" si="1"/>
        <v>0</v>
      </c>
      <c r="I18" s="7">
        <f t="shared" si="2"/>
        <v>24095</v>
      </c>
      <c r="J18" s="11" t="s">
        <v>20</v>
      </c>
      <c r="K18" s="10"/>
      <c r="L18" s="7"/>
    </row>
    <row r="19" spans="1:12" x14ac:dyDescent="0.35">
      <c r="A19" t="s">
        <v>20</v>
      </c>
      <c r="B19">
        <v>2017</v>
      </c>
      <c r="C19">
        <v>65097</v>
      </c>
      <c r="D19">
        <v>15865</v>
      </c>
      <c r="E19" s="3">
        <v>0</v>
      </c>
      <c r="F19" s="1">
        <v>2467.4</v>
      </c>
      <c r="G19" s="1">
        <v>0</v>
      </c>
      <c r="H19" s="2">
        <f t="shared" si="1"/>
        <v>0</v>
      </c>
      <c r="I19" s="7">
        <f t="shared" si="2"/>
        <v>15865</v>
      </c>
      <c r="J19" s="11" t="s">
        <v>21</v>
      </c>
      <c r="K19" s="10"/>
      <c r="L19" s="7"/>
    </row>
    <row r="20" spans="1:12" x14ac:dyDescent="0.35">
      <c r="A20" t="s">
        <v>21</v>
      </c>
      <c r="B20">
        <v>2018</v>
      </c>
      <c r="C20">
        <v>57418</v>
      </c>
      <c r="D20">
        <v>24760</v>
      </c>
      <c r="E20" s="3">
        <v>0</v>
      </c>
      <c r="F20" s="1">
        <v>2465.6999999999998</v>
      </c>
      <c r="G20" s="1">
        <v>0</v>
      </c>
      <c r="H20" s="2">
        <f t="shared" si="1"/>
        <v>0</v>
      </c>
      <c r="I20" s="7">
        <f t="shared" si="2"/>
        <v>24760</v>
      </c>
      <c r="J20" s="11" t="s">
        <v>22</v>
      </c>
      <c r="K20" s="10"/>
      <c r="L20" s="7"/>
    </row>
    <row r="21" spans="1:12" x14ac:dyDescent="0.35">
      <c r="A21" t="s">
        <v>22</v>
      </c>
      <c r="B21">
        <v>2019</v>
      </c>
      <c r="C21">
        <v>61078</v>
      </c>
      <c r="D21">
        <v>23780</v>
      </c>
      <c r="E21" s="3">
        <v>0</v>
      </c>
      <c r="F21" s="1">
        <v>2436.5</v>
      </c>
      <c r="G21" s="1">
        <v>0</v>
      </c>
      <c r="H21" s="2">
        <f t="shared" si="1"/>
        <v>0</v>
      </c>
      <c r="I21" s="7">
        <f t="shared" si="2"/>
        <v>23780</v>
      </c>
      <c r="J21" s="11" t="s">
        <v>23</v>
      </c>
      <c r="K21" s="10"/>
      <c r="L21" s="7"/>
    </row>
    <row r="22" spans="1:12" x14ac:dyDescent="0.35">
      <c r="A22" t="s">
        <v>23</v>
      </c>
      <c r="B22">
        <v>2020</v>
      </c>
      <c r="C22">
        <v>63401</v>
      </c>
      <c r="D22">
        <v>20950</v>
      </c>
      <c r="E22" s="3">
        <v>0</v>
      </c>
      <c r="F22" s="1">
        <v>2297.1999999999998</v>
      </c>
      <c r="G22" s="1">
        <v>0</v>
      </c>
      <c r="H22" s="2">
        <f t="shared" si="1"/>
        <v>0</v>
      </c>
      <c r="I22" s="7">
        <f t="shared" si="2"/>
        <v>20950</v>
      </c>
      <c r="J22" s="11" t="s">
        <v>24</v>
      </c>
      <c r="K22" s="10"/>
      <c r="L22" s="7"/>
    </row>
    <row r="23" spans="1:12" x14ac:dyDescent="0.35">
      <c r="A23" t="s">
        <v>24</v>
      </c>
      <c r="B23">
        <v>2021</v>
      </c>
      <c r="C23">
        <v>69478</v>
      </c>
      <c r="D23">
        <v>25065</v>
      </c>
      <c r="E23" s="3">
        <v>0</v>
      </c>
      <c r="F23" s="1">
        <v>2214.1999999999998</v>
      </c>
      <c r="G23" s="1">
        <v>0</v>
      </c>
      <c r="H23" s="2">
        <f t="shared" si="1"/>
        <v>0</v>
      </c>
      <c r="I23" s="7">
        <f t="shared" si="2"/>
        <v>25065</v>
      </c>
      <c r="J23" s="11" t="s">
        <v>25</v>
      </c>
      <c r="K23" s="10"/>
      <c r="L23" s="7"/>
    </row>
    <row r="24" spans="1:12" x14ac:dyDescent="0.35">
      <c r="A24" t="s">
        <v>25</v>
      </c>
      <c r="B24">
        <v>2022</v>
      </c>
      <c r="C24">
        <v>74645</v>
      </c>
      <c r="D24">
        <v>29400</v>
      </c>
      <c r="E24" s="3">
        <v>0</v>
      </c>
      <c r="F24" s="1">
        <v>2187.4</v>
      </c>
      <c r="G24" s="1">
        <v>0</v>
      </c>
      <c r="H24" s="2">
        <f t="shared" si="1"/>
        <v>0</v>
      </c>
      <c r="I24" s="7">
        <f t="shared" si="2"/>
        <v>29400</v>
      </c>
      <c r="J24" s="11" t="s">
        <v>26</v>
      </c>
      <c r="K24" s="10"/>
      <c r="L24" s="7"/>
    </row>
    <row r="25" spans="1:12" x14ac:dyDescent="0.35">
      <c r="A25" t="s">
        <v>26</v>
      </c>
      <c r="B25">
        <v>2023</v>
      </c>
      <c r="C25">
        <v>83403</v>
      </c>
      <c r="D25">
        <v>37186</v>
      </c>
      <c r="E25" s="3">
        <v>0</v>
      </c>
      <c r="F25" s="1">
        <v>2160.6999999999998</v>
      </c>
      <c r="G25" s="1">
        <v>0</v>
      </c>
      <c r="H25" s="2">
        <f t="shared" si="1"/>
        <v>0</v>
      </c>
      <c r="I25" s="7">
        <f t="shared" si="2"/>
        <v>37186</v>
      </c>
      <c r="J25" s="11" t="s">
        <v>27</v>
      </c>
      <c r="K25" s="10"/>
      <c r="L25" s="7"/>
    </row>
    <row r="26" spans="1:12" s="3" customFormat="1" x14ac:dyDescent="0.35">
      <c r="B26" s="3" t="s">
        <v>28</v>
      </c>
      <c r="F26" s="1"/>
      <c r="G26" s="1"/>
      <c r="H26" s="7"/>
      <c r="J26" s="7"/>
    </row>
    <row r="27" spans="1:12" x14ac:dyDescent="0.35">
      <c r="B27" t="s">
        <v>29</v>
      </c>
      <c r="C27" s="12"/>
      <c r="D27" s="12"/>
      <c r="E27" s="12"/>
      <c r="H27" s="12"/>
      <c r="I27" s="13"/>
      <c r="L27" s="7"/>
    </row>
    <row r="28" spans="1:12" s="2" customFormat="1" x14ac:dyDescent="0.35">
      <c r="B28" s="2" t="s">
        <v>30</v>
      </c>
      <c r="C28" s="2">
        <f>-C16</f>
        <v>-41253</v>
      </c>
      <c r="D28" s="2">
        <f>-D16</f>
        <v>-19880</v>
      </c>
      <c r="F28" s="8">
        <f>F16</f>
        <v>2464.3000000000002</v>
      </c>
      <c r="G28" s="14">
        <f t="shared" ref="G28:H28" si="3">-G16</f>
        <v>0</v>
      </c>
      <c r="H28" s="2">
        <f t="shared" si="3"/>
        <v>0</v>
      </c>
      <c r="I28" s="8">
        <f t="shared" ref="I28" si="4">I16</f>
        <v>19880</v>
      </c>
      <c r="L28" s="7"/>
    </row>
    <row r="29" spans="1:12" s="2" customFormat="1" x14ac:dyDescent="0.35">
      <c r="B29" s="2" t="s">
        <v>31</v>
      </c>
      <c r="C29" s="2">
        <f>C25</f>
        <v>83403</v>
      </c>
      <c r="D29" s="2">
        <f>D25</f>
        <v>37186</v>
      </c>
      <c r="F29" s="8">
        <f>-F25</f>
        <v>-2160.6999999999998</v>
      </c>
      <c r="G29" s="14">
        <f t="shared" ref="G29:H29" si="5">G25</f>
        <v>0</v>
      </c>
      <c r="H29" s="2">
        <f t="shared" si="5"/>
        <v>0</v>
      </c>
      <c r="I29" s="8">
        <f t="shared" ref="I29" si="6">-I25</f>
        <v>-37186</v>
      </c>
      <c r="L29" s="7"/>
    </row>
    <row r="30" spans="1:12" s="2" customFormat="1" x14ac:dyDescent="0.35">
      <c r="B30" s="2" t="s">
        <v>32</v>
      </c>
      <c r="C30" s="2">
        <v>9</v>
      </c>
      <c r="D30" s="2">
        <v>9</v>
      </c>
      <c r="F30" s="8">
        <v>9</v>
      </c>
      <c r="I30" s="8">
        <v>9</v>
      </c>
      <c r="L30" s="7"/>
    </row>
    <row r="31" spans="1:12" s="12" customFormat="1" x14ac:dyDescent="0.35">
      <c r="B31" s="12" t="s">
        <v>33</v>
      </c>
      <c r="C31" s="12">
        <f>RATE(C30,,C28,C29)</f>
        <v>8.135818196994743E-2</v>
      </c>
      <c r="D31" s="13">
        <f t="shared" ref="D31:I31" si="7">RATE(D30,,D28,D29)</f>
        <v>7.2057601452516037E-2</v>
      </c>
      <c r="F31" s="12">
        <f t="shared" si="7"/>
        <v>-1.4502209349781067E-2</v>
      </c>
      <c r="I31" s="13">
        <f t="shared" si="7"/>
        <v>7.2057601452501729E-2</v>
      </c>
      <c r="L31" s="13"/>
    </row>
    <row r="33" spans="1:15" x14ac:dyDescent="0.35">
      <c r="A33" s="3">
        <v>1</v>
      </c>
      <c r="B33" s="3" t="s">
        <v>34</v>
      </c>
      <c r="C33" s="3"/>
      <c r="D33" s="3"/>
      <c r="E33" s="3"/>
      <c r="H33" s="7"/>
      <c r="I33" s="3"/>
      <c r="J33" s="7"/>
      <c r="K33" s="3"/>
      <c r="L33" s="3"/>
      <c r="M33" s="3"/>
    </row>
    <row r="34" spans="1:15" x14ac:dyDescent="0.35">
      <c r="D34">
        <v>2023</v>
      </c>
      <c r="M34">
        <v>2033</v>
      </c>
    </row>
    <row r="35" spans="1:15" x14ac:dyDescent="0.35">
      <c r="B35" s="1"/>
      <c r="C35" s="11"/>
      <c r="D35" s="11" t="s">
        <v>35</v>
      </c>
      <c r="E35" s="11" t="s">
        <v>36</v>
      </c>
      <c r="F35" s="15" t="s">
        <v>37</v>
      </c>
      <c r="G35" s="15" t="s">
        <v>38</v>
      </c>
      <c r="H35" s="16" t="s">
        <v>39</v>
      </c>
      <c r="I35" s="11" t="s">
        <v>40</v>
      </c>
      <c r="J35" s="16" t="s">
        <v>41</v>
      </c>
      <c r="K35" s="11" t="s">
        <v>42</v>
      </c>
      <c r="L35" s="11" t="s">
        <v>43</v>
      </c>
      <c r="M35" s="11" t="s">
        <v>44</v>
      </c>
    </row>
    <row r="36" spans="1:15" x14ac:dyDescent="0.35">
      <c r="B36" t="s">
        <v>45</v>
      </c>
      <c r="D36" s="2">
        <v>36190</v>
      </c>
      <c r="E36" s="2">
        <f t="shared" ref="E36:M36" si="8">D38</f>
        <v>38797.764596566034</v>
      </c>
      <c r="F36" s="17">
        <f t="shared" si="8"/>
        <v>41593.43845511337</v>
      </c>
      <c r="G36" s="17">
        <f t="shared" si="8"/>
        <v>44590.561866351083</v>
      </c>
      <c r="H36" s="2">
        <f t="shared" si="8"/>
        <v>47803.650801859723</v>
      </c>
      <c r="I36" s="2">
        <f t="shared" si="8"/>
        <v>51248.267219314694</v>
      </c>
      <c r="J36" s="2">
        <f t="shared" si="8"/>
        <v>54941.094433735372</v>
      </c>
      <c r="K36" s="2">
        <f t="shared" si="8"/>
        <v>58900.01791980573</v>
      </c>
      <c r="L36" s="2">
        <f t="shared" si="8"/>
        <v>63144.211936616295</v>
      </c>
      <c r="M36" s="2">
        <f t="shared" si="8"/>
        <v>67694.232394377294</v>
      </c>
    </row>
    <row r="37" spans="1:15" x14ac:dyDescent="0.35">
      <c r="B37" t="s">
        <v>46</v>
      </c>
      <c r="D37" s="12">
        <f>I31</f>
        <v>7.2057601452501729E-2</v>
      </c>
      <c r="E37" s="12">
        <f>I31</f>
        <v>7.2057601452501729E-2</v>
      </c>
      <c r="F37" s="12">
        <f>I31</f>
        <v>7.2057601452501729E-2</v>
      </c>
      <c r="G37" s="12">
        <f>I31</f>
        <v>7.2057601452501729E-2</v>
      </c>
      <c r="H37" s="12">
        <f>I31</f>
        <v>7.2057601452501729E-2</v>
      </c>
      <c r="I37" s="12">
        <f>I31</f>
        <v>7.2057601452501729E-2</v>
      </c>
      <c r="J37" s="12">
        <f>I31</f>
        <v>7.2057601452501729E-2</v>
      </c>
      <c r="K37" s="12">
        <f>I31</f>
        <v>7.2057601452501729E-2</v>
      </c>
      <c r="L37" s="12">
        <f>I31</f>
        <v>7.2057601452501729E-2</v>
      </c>
      <c r="M37" s="12">
        <f>I31</f>
        <v>7.2057601452501729E-2</v>
      </c>
    </row>
    <row r="38" spans="1:15" x14ac:dyDescent="0.35">
      <c r="B38" t="s">
        <v>47</v>
      </c>
      <c r="D38" s="2">
        <f>D36*(1+D37)</f>
        <v>38797.764596566034</v>
      </c>
      <c r="E38" s="2">
        <f t="shared" ref="E38:M38" si="9">E36*(1+E37)</f>
        <v>41593.43845511337</v>
      </c>
      <c r="F38" s="2">
        <f t="shared" si="9"/>
        <v>44590.561866351083</v>
      </c>
      <c r="G38" s="2">
        <f t="shared" si="9"/>
        <v>47803.650801859723</v>
      </c>
      <c r="H38" s="2">
        <f t="shared" si="9"/>
        <v>51248.267219314694</v>
      </c>
      <c r="I38" s="2">
        <f t="shared" si="9"/>
        <v>54941.094433735372</v>
      </c>
      <c r="J38" s="2">
        <f t="shared" si="9"/>
        <v>58900.01791980573</v>
      </c>
      <c r="K38" s="2">
        <f t="shared" si="9"/>
        <v>63144.211936616295</v>
      </c>
      <c r="L38" s="2">
        <f t="shared" si="9"/>
        <v>67694.232394377294</v>
      </c>
      <c r="M38" s="2">
        <f t="shared" si="9"/>
        <v>72572.116412884352</v>
      </c>
    </row>
    <row r="39" spans="1:15" x14ac:dyDescent="0.35">
      <c r="B39" t="s">
        <v>48</v>
      </c>
      <c r="D39" s="18">
        <f>(1/(1+10%))^1</f>
        <v>0.90909090909090906</v>
      </c>
      <c r="E39" s="18">
        <f>(1/(1+10%))^2</f>
        <v>0.82644628099173545</v>
      </c>
      <c r="F39" s="18">
        <f>(1/(1+10%))^3</f>
        <v>0.75131480090157765</v>
      </c>
      <c r="G39" s="18">
        <f>(1/(1+10%))^4</f>
        <v>0.68301345536507052</v>
      </c>
      <c r="H39" s="18">
        <f>(1/(1+10%))^5</f>
        <v>0.62092132305915504</v>
      </c>
      <c r="I39" s="18">
        <f>(1/(1+10%))^6</f>
        <v>0.56447393005377722</v>
      </c>
      <c r="J39" s="18">
        <f>(1/(1+10%))^7</f>
        <v>0.51315811823070656</v>
      </c>
      <c r="K39" s="18">
        <f>(1/(1+10%))^8</f>
        <v>0.4665073802097332</v>
      </c>
      <c r="L39" s="18">
        <f>(1/(1+10%))^9</f>
        <v>0.42409761837248472</v>
      </c>
      <c r="M39" s="18">
        <f>(1/(1+10%))^10</f>
        <v>0.38554328942953153</v>
      </c>
    </row>
    <row r="40" spans="1:15" x14ac:dyDescent="0.35">
      <c r="B40" t="s">
        <v>49</v>
      </c>
      <c r="D40" s="2">
        <f>D38*D39</f>
        <v>35270.695087787302</v>
      </c>
      <c r="E40" s="2">
        <f t="shared" ref="E40:M40" si="10">E38*E39</f>
        <v>34374.742524887079</v>
      </c>
      <c r="F40" s="2">
        <f t="shared" si="10"/>
        <v>33501.549110707048</v>
      </c>
      <c r="G40" s="2">
        <f t="shared" si="10"/>
        <v>32650.536713243433</v>
      </c>
      <c r="H40" s="2">
        <f t="shared" si="10"/>
        <v>31821.141886306003</v>
      </c>
      <c r="I40" s="2">
        <f t="shared" si="10"/>
        <v>31012.815496466308</v>
      </c>
      <c r="J40" s="2">
        <f t="shared" si="10"/>
        <v>30225.022359482406</v>
      </c>
      <c r="K40" s="2">
        <f t="shared" si="10"/>
        <v>29457.240885959032</v>
      </c>
      <c r="L40" s="2">
        <f t="shared" si="10"/>
        <v>28708.962736008914</v>
      </c>
      <c r="M40" s="2">
        <f t="shared" si="10"/>
        <v>27979.692482686329</v>
      </c>
      <c r="O40" s="19">
        <f>SUM(D40:N40)</f>
        <v>315002.3992835338</v>
      </c>
    </row>
    <row r="41" spans="1:15" x14ac:dyDescent="0.35">
      <c r="B41" s="1"/>
    </row>
    <row r="42" spans="1:15" x14ac:dyDescent="0.35">
      <c r="B42" s="3" t="s">
        <v>50</v>
      </c>
      <c r="F42" s="8">
        <f>O40</f>
        <v>315002.3992835338</v>
      </c>
    </row>
    <row r="43" spans="1:15" x14ac:dyDescent="0.35">
      <c r="H43" s="2" t="s">
        <v>51</v>
      </c>
    </row>
    <row r="44" spans="1:15" x14ac:dyDescent="0.35">
      <c r="A44" s="3">
        <v>2</v>
      </c>
      <c r="B44" s="3" t="s">
        <v>52</v>
      </c>
      <c r="C44" s="3"/>
      <c r="D44" s="3"/>
      <c r="E44" s="3"/>
      <c r="H44" s="20" t="s">
        <v>53</v>
      </c>
      <c r="I44" s="2"/>
      <c r="L44" s="1"/>
      <c r="M44" s="1"/>
    </row>
    <row r="45" spans="1:15" x14ac:dyDescent="0.35">
      <c r="H45" s="3" t="s">
        <v>54</v>
      </c>
      <c r="I45" s="2"/>
      <c r="J45" s="7" t="s">
        <v>55</v>
      </c>
      <c r="L45" s="2"/>
      <c r="M45" s="1"/>
    </row>
    <row r="46" spans="1:15" x14ac:dyDescent="0.35">
      <c r="B46" t="s">
        <v>56</v>
      </c>
      <c r="D46" s="7"/>
      <c r="E46" s="2">
        <f>M38</f>
        <v>72572.116412884352</v>
      </c>
      <c r="H46" s="1" t="s">
        <v>57</v>
      </c>
      <c r="I46" s="2"/>
      <c r="L46" s="2"/>
      <c r="M46" s="1"/>
    </row>
    <row r="47" spans="1:15" x14ac:dyDescent="0.35">
      <c r="B47" s="1" t="s">
        <v>58</v>
      </c>
      <c r="D47" s="21"/>
      <c r="E47" s="21">
        <v>0.05</v>
      </c>
      <c r="H47" s="1" t="s">
        <v>59</v>
      </c>
      <c r="I47" s="2"/>
    </row>
    <row r="48" spans="1:15" x14ac:dyDescent="0.35">
      <c r="B48" t="s">
        <v>60</v>
      </c>
      <c r="D48" s="7"/>
      <c r="E48" s="2">
        <f>E46*(1+E47)</f>
        <v>76200.722233528577</v>
      </c>
      <c r="H48" s="3" t="s">
        <v>61</v>
      </c>
      <c r="I48" s="2"/>
      <c r="K48" s="3"/>
      <c r="M48" s="1"/>
    </row>
    <row r="49" spans="1:13" x14ac:dyDescent="0.35">
      <c r="B49" t="s">
        <v>62</v>
      </c>
      <c r="D49" s="21"/>
      <c r="E49" s="21">
        <v>0.04</v>
      </c>
      <c r="H49" s="3" t="s">
        <v>63</v>
      </c>
      <c r="K49" s="3"/>
      <c r="M49" s="1"/>
    </row>
    <row r="50" spans="1:13" x14ac:dyDescent="0.35">
      <c r="B50" t="s">
        <v>64</v>
      </c>
      <c r="D50" s="7"/>
      <c r="E50" s="2">
        <f>E48/E49</f>
        <v>1905018.0558382145</v>
      </c>
      <c r="H50" s="3" t="s">
        <v>65</v>
      </c>
      <c r="I50" s="3"/>
      <c r="K50" s="3"/>
      <c r="M50" s="1"/>
    </row>
    <row r="51" spans="1:13" x14ac:dyDescent="0.35">
      <c r="B51" t="s">
        <v>66</v>
      </c>
      <c r="D51" s="18"/>
      <c r="E51" s="18">
        <f>M39</f>
        <v>0.38554328942953153</v>
      </c>
      <c r="H51" s="3" t="s">
        <v>67</v>
      </c>
      <c r="I51" s="3"/>
      <c r="K51" s="3"/>
    </row>
    <row r="52" spans="1:13" x14ac:dyDescent="0.35">
      <c r="B52" s="3" t="s">
        <v>68</v>
      </c>
      <c r="E52" s="7"/>
      <c r="F52" s="7">
        <f>E50*E51</f>
        <v>734466.92767051619</v>
      </c>
      <c r="H52" s="22" t="s">
        <v>69</v>
      </c>
      <c r="I52" s="3"/>
      <c r="K52" s="2"/>
    </row>
    <row r="53" spans="1:13" x14ac:dyDescent="0.35">
      <c r="B53" t="s">
        <v>70</v>
      </c>
      <c r="F53"/>
      <c r="I53" s="3" t="s">
        <v>71</v>
      </c>
      <c r="K53" s="2"/>
    </row>
    <row r="54" spans="1:13" x14ac:dyDescent="0.35">
      <c r="A54" s="3">
        <v>3</v>
      </c>
      <c r="B54" s="3" t="s">
        <v>72</v>
      </c>
      <c r="E54" s="7"/>
      <c r="F54" s="7">
        <f>F42+F52</f>
        <v>1049469.32695405</v>
      </c>
      <c r="I54" s="3" t="s">
        <v>73</v>
      </c>
      <c r="L54" s="2"/>
    </row>
    <row r="55" spans="1:13" x14ac:dyDescent="0.35">
      <c r="A55" s="3"/>
      <c r="B55" s="3" t="s">
        <v>74</v>
      </c>
      <c r="E55">
        <v>2166</v>
      </c>
      <c r="L55" s="2"/>
    </row>
    <row r="56" spans="1:13" ht="15.5" x14ac:dyDescent="0.35">
      <c r="A56" s="3"/>
      <c r="B56" s="3" t="s">
        <v>75</v>
      </c>
      <c r="F56" s="23">
        <f>F54/E55</f>
        <v>484.51954153003231</v>
      </c>
      <c r="H56" s="24" t="s">
        <v>76</v>
      </c>
    </row>
    <row r="57" spans="1:13" x14ac:dyDescent="0.35">
      <c r="E57" s="25"/>
      <c r="H57" s="26" t="s">
        <v>77</v>
      </c>
    </row>
    <row r="58" spans="1:13" x14ac:dyDescent="0.35">
      <c r="B58" s="1" t="s">
        <v>78</v>
      </c>
      <c r="H58" s="24" t="s">
        <v>79</v>
      </c>
    </row>
    <row r="59" spans="1:13" x14ac:dyDescent="0.35">
      <c r="B59" s="1" t="s">
        <v>80</v>
      </c>
      <c r="H59" s="27"/>
    </row>
    <row r="60" spans="1:13" x14ac:dyDescent="0.35">
      <c r="B60" s="3" t="s">
        <v>81</v>
      </c>
      <c r="H60" s="2" t="s">
        <v>82</v>
      </c>
    </row>
    <row r="64" spans="1:13" x14ac:dyDescent="0.35">
      <c r="A64" s="3">
        <v>4</v>
      </c>
      <c r="C64" s="24" t="s">
        <v>83</v>
      </c>
      <c r="E64" s="1"/>
      <c r="G64" s="3" t="s">
        <v>84</v>
      </c>
      <c r="H64"/>
      <c r="J64"/>
    </row>
    <row r="65" spans="1:10" x14ac:dyDescent="0.35">
      <c r="A65" s="7"/>
      <c r="E65" s="1"/>
      <c r="G65"/>
      <c r="H65"/>
      <c r="J65"/>
    </row>
    <row r="66" spans="1:10" x14ac:dyDescent="0.35">
      <c r="B66" s="3" t="s">
        <v>85</v>
      </c>
      <c r="C66" s="3" t="s">
        <v>86</v>
      </c>
      <c r="D66" t="s">
        <v>87</v>
      </c>
      <c r="E66" s="28" t="s">
        <v>88</v>
      </c>
      <c r="F66" s="29" t="s">
        <v>89</v>
      </c>
      <c r="G66" s="30" t="s">
        <v>90</v>
      </c>
      <c r="H66"/>
      <c r="I66" s="20" t="s">
        <v>91</v>
      </c>
      <c r="J66"/>
    </row>
    <row r="67" spans="1:10" x14ac:dyDescent="0.35">
      <c r="B67" t="s">
        <v>92</v>
      </c>
      <c r="C67" t="s">
        <v>93</v>
      </c>
      <c r="D67" t="s">
        <v>94</v>
      </c>
      <c r="E67" s="6" t="s">
        <v>95</v>
      </c>
      <c r="F67" s="29" t="s">
        <v>96</v>
      </c>
      <c r="G67" s="29" t="s">
        <v>97</v>
      </c>
      <c r="H67"/>
      <c r="I67" s="7" t="s">
        <v>98</v>
      </c>
      <c r="J67"/>
    </row>
    <row r="68" spans="1:10" x14ac:dyDescent="0.35">
      <c r="A68" s="3">
        <v>2014</v>
      </c>
      <c r="B68">
        <v>8.06</v>
      </c>
      <c r="C68">
        <v>0</v>
      </c>
      <c r="D68">
        <f t="shared" ref="D68:D77" si="11">B68-C68</f>
        <v>8.06</v>
      </c>
      <c r="E68" s="1">
        <v>2464.3000000000002</v>
      </c>
      <c r="F68" s="31">
        <f t="shared" ref="F68:F77" si="12">D68*E68</f>
        <v>19862.258000000002</v>
      </c>
      <c r="G68" s="7">
        <v>370660</v>
      </c>
      <c r="H68"/>
      <c r="I68" s="2"/>
      <c r="J68"/>
    </row>
    <row r="69" spans="1:10" x14ac:dyDescent="0.35">
      <c r="A69">
        <v>2015</v>
      </c>
      <c r="B69">
        <v>9.77</v>
      </c>
      <c r="C69">
        <v>0</v>
      </c>
      <c r="D69">
        <f t="shared" si="11"/>
        <v>9.77</v>
      </c>
      <c r="E69" s="1">
        <v>2465.1999999999998</v>
      </c>
      <c r="F69" s="31">
        <f t="shared" si="12"/>
        <v>24085.003999999997</v>
      </c>
      <c r="G69" s="2">
        <v>325280</v>
      </c>
      <c r="H69"/>
      <c r="I69" s="2"/>
      <c r="J69"/>
    </row>
    <row r="70" spans="1:10" x14ac:dyDescent="0.35">
      <c r="A70">
        <v>2016</v>
      </c>
      <c r="B70" s="3">
        <v>9.77</v>
      </c>
      <c r="C70">
        <v>0</v>
      </c>
      <c r="D70">
        <f t="shared" si="11"/>
        <v>9.77</v>
      </c>
      <c r="E70" s="1">
        <v>2466.1999999999998</v>
      </c>
      <c r="F70" s="31">
        <f t="shared" si="12"/>
        <v>24094.773999999998</v>
      </c>
      <c r="G70">
        <v>401640</v>
      </c>
      <c r="H70"/>
      <c r="J70"/>
    </row>
    <row r="71" spans="1:10" x14ac:dyDescent="0.35">
      <c r="A71">
        <v>2017</v>
      </c>
      <c r="B71">
        <v>6.43</v>
      </c>
      <c r="C71">
        <v>0</v>
      </c>
      <c r="D71">
        <f t="shared" si="11"/>
        <v>6.43</v>
      </c>
      <c r="E71" s="1">
        <v>2467.4</v>
      </c>
      <c r="F71" s="31">
        <f t="shared" si="12"/>
        <v>15865.382</v>
      </c>
      <c r="G71">
        <v>489240</v>
      </c>
      <c r="H71"/>
      <c r="J71"/>
    </row>
    <row r="72" spans="1:10" x14ac:dyDescent="0.35">
      <c r="A72">
        <v>2018</v>
      </c>
      <c r="B72">
        <v>10.039999999999999</v>
      </c>
      <c r="C72">
        <v>0</v>
      </c>
      <c r="D72">
        <f t="shared" si="11"/>
        <v>10.039999999999999</v>
      </c>
      <c r="E72" s="1">
        <v>2465.6999999999998</v>
      </c>
      <c r="F72" s="31">
        <f t="shared" si="12"/>
        <v>24755.627999999997</v>
      </c>
      <c r="G72">
        <v>502370</v>
      </c>
      <c r="H72"/>
      <c r="J72"/>
    </row>
    <row r="73" spans="1:10" x14ac:dyDescent="0.35">
      <c r="A73">
        <v>2019</v>
      </c>
      <c r="B73">
        <v>9.76</v>
      </c>
      <c r="C73">
        <v>0</v>
      </c>
      <c r="D73">
        <f t="shared" si="11"/>
        <v>9.76</v>
      </c>
      <c r="E73" s="1">
        <v>2436.5</v>
      </c>
      <c r="F73" s="31">
        <f t="shared" si="12"/>
        <v>23780.239999999998</v>
      </c>
      <c r="G73">
        <v>551960</v>
      </c>
      <c r="H73"/>
      <c r="J73"/>
    </row>
    <row r="74" spans="1:10" x14ac:dyDescent="0.35">
      <c r="A74">
        <v>2020</v>
      </c>
      <c r="B74">
        <v>9.1199999999999992</v>
      </c>
      <c r="C74">
        <v>0</v>
      </c>
      <c r="D74">
        <f t="shared" si="11"/>
        <v>9.1199999999999992</v>
      </c>
      <c r="E74" s="1">
        <v>2297.1999999999998</v>
      </c>
      <c r="F74" s="31">
        <f t="shared" si="12"/>
        <v>20950.463999999996</v>
      </c>
      <c r="G74">
        <v>543670</v>
      </c>
      <c r="H74"/>
      <c r="J74"/>
    </row>
    <row r="75" spans="1:10" x14ac:dyDescent="0.35">
      <c r="A75">
        <v>2021</v>
      </c>
      <c r="B75">
        <v>11.32</v>
      </c>
      <c r="C75">
        <v>0</v>
      </c>
      <c r="D75">
        <f t="shared" si="11"/>
        <v>11.32</v>
      </c>
      <c r="E75" s="1">
        <v>2214.1999999999998</v>
      </c>
      <c r="F75" s="31">
        <f t="shared" si="12"/>
        <v>25064.743999999999</v>
      </c>
      <c r="G75" s="2">
        <v>669120</v>
      </c>
      <c r="H75"/>
      <c r="I75" s="2"/>
      <c r="J75"/>
    </row>
    <row r="76" spans="1:10" x14ac:dyDescent="0.35">
      <c r="A76">
        <v>2022</v>
      </c>
      <c r="B76">
        <v>13.44</v>
      </c>
      <c r="C76">
        <v>0</v>
      </c>
      <c r="D76">
        <f t="shared" si="11"/>
        <v>13.44</v>
      </c>
      <c r="E76" s="1">
        <v>2187.4</v>
      </c>
      <c r="F76" s="31">
        <f t="shared" si="12"/>
        <v>29398.655999999999</v>
      </c>
      <c r="G76" s="2">
        <v>681770</v>
      </c>
      <c r="H76"/>
      <c r="I76" s="19" t="s">
        <v>99</v>
      </c>
      <c r="J76"/>
    </row>
    <row r="77" spans="1:10" x14ac:dyDescent="0.35">
      <c r="A77">
        <v>2023</v>
      </c>
      <c r="B77">
        <v>17.21</v>
      </c>
      <c r="C77">
        <v>0</v>
      </c>
      <c r="D77">
        <f t="shared" si="11"/>
        <v>17.21</v>
      </c>
      <c r="E77" s="1">
        <v>2160.6999999999998</v>
      </c>
      <c r="F77" s="31">
        <f t="shared" si="12"/>
        <v>37185.646999999997</v>
      </c>
      <c r="G77" s="7">
        <v>777450</v>
      </c>
      <c r="H77"/>
      <c r="I77" s="7" t="s">
        <v>100</v>
      </c>
      <c r="J77"/>
    </row>
    <row r="78" spans="1:10" x14ac:dyDescent="0.35">
      <c r="E78" s="1"/>
      <c r="F78" s="31"/>
      <c r="G78" s="2"/>
      <c r="H78"/>
      <c r="I78" s="7" t="s">
        <v>101</v>
      </c>
      <c r="J78"/>
    </row>
    <row r="79" spans="1:10" x14ac:dyDescent="0.35">
      <c r="E79" s="1"/>
      <c r="F79" s="31">
        <f>SUM(F68:F78)</f>
        <v>245042.79699999999</v>
      </c>
      <c r="G79" s="7">
        <f>G77-G68</f>
        <v>406790</v>
      </c>
      <c r="H79"/>
      <c r="I79" s="32">
        <f>G79/F79</f>
        <v>1.6600773619148659</v>
      </c>
      <c r="J79" s="3" t="s">
        <v>102</v>
      </c>
    </row>
    <row r="80" spans="1:10" x14ac:dyDescent="0.35">
      <c r="E80" s="1"/>
      <c r="F80" s="1" t="s">
        <v>103</v>
      </c>
      <c r="G80" s="3" t="s">
        <v>84</v>
      </c>
      <c r="H80"/>
      <c r="I80" s="2"/>
      <c r="J8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BRKB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johnz</dc:creator>
  <cp:lastModifiedBy>johnz</cp:lastModifiedBy>
  <dcterms:created xsi:type="dcterms:W3CDTF">2026-03-15T03:42:35Z</dcterms:created>
  <dcterms:modified xsi:type="dcterms:W3CDTF">2026-03-15T03:44:07Z</dcterms:modified>
</cp:coreProperties>
</file>